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  <sheet name="filter construction" sheetId="2" state="visible" r:id="rId3"/>
    <sheet name="measurements" sheetId="3" state="visible" r:id="rId4"/>
  </sheets>
  <definedNames>
    <definedName function="false" hidden="false" localSheetId="1" name="_xlnm.Print_Area" vbProcedure="false">'filter construction'!$A$1:$L$36</definedName>
    <definedName function="false" hidden="false" localSheetId="0" name="_xlnm.Print_Area" vbProcedure="false">report!$A$1:$L$32</definedName>
    <definedName function="false" hidden="false" localSheetId="0" name="_xlnm.Print_Area" vbProcedure="false">report!$A$1:$L$37</definedName>
    <definedName function="false" hidden="false" localSheetId="1" name="_xlnm.Print_Area" vbProcedure="false">'filter construction'!$A$1:$L$32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<sst xmlns="http://schemas.openxmlformats.org/spreadsheetml/2006/main" count="197" uniqueCount="155">
  <si>
    <t xml:space="preserve">Sand Filter Calculations</t>
  </si>
  <si>
    <t xml:space="preserve">Known Items:</t>
  </si>
  <si>
    <t xml:space="preserve">Diameter</t>
  </si>
  <si>
    <t xml:space="preserve">Height</t>
  </si>
  <si>
    <t xml:space="preserve">play sand</t>
  </si>
  <si>
    <t xml:space="preserve">feet</t>
  </si>
  <si>
    <t xml:space="preserve">inches</t>
  </si>
  <si>
    <t xml:space="preserve">30 gal drum </t>
  </si>
  <si>
    <t xml:space="preserve">filter sand</t>
  </si>
  <si>
    <t xml:space="preserve">55 gal drum </t>
  </si>
  <si>
    <t xml:space="preserve">size-cu.ft.</t>
  </si>
  <si>
    <t xml:space="preserve">Cylinder Choice</t>
  </si>
  <si>
    <t xml:space="preserve">(for 50 lb bag)</t>
  </si>
  <si>
    <t xml:space="preserve">Choose if cylinder or rectangle</t>
  </si>
  <si>
    <t xml:space="preserve">cylinder</t>
  </si>
  <si>
    <t xml:space="preserve">Enter data in green cells only</t>
  </si>
  <si>
    <t xml:space="preserve">Blue cells are results of calculations</t>
  </si>
  <si>
    <t xml:space="preserve">Enter cylinder dimensions</t>
  </si>
  <si>
    <t xml:space="preserve">Yellow cells are known data and constants</t>
  </si>
  <si>
    <t xml:space="preserve">Rectangle Choice</t>
  </si>
  <si>
    <t xml:space="preserve">length</t>
  </si>
  <si>
    <t xml:space="preserve">width</t>
  </si>
  <si>
    <t xml:space="preserve">height</t>
  </si>
  <si>
    <t xml:space="preserve">Enter rectangle</t>
  </si>
  <si>
    <t xml:space="preserve">Calculating safe daily flow rate</t>
  </si>
  <si>
    <t xml:space="preserve">Choices Regardless of Shape</t>
  </si>
  <si>
    <t xml:space="preserve">Enter maximum need</t>
  </si>
  <si>
    <t xml:space="preserve">gal/day</t>
  </si>
  <si>
    <t xml:space="preserve">Choose head height</t>
  </si>
  <si>
    <t xml:space="preserve">Required sq.ft.</t>
  </si>
  <si>
    <t xml:space="preserve">sq.ft for Maximum flow</t>
  </si>
  <si>
    <t xml:space="preserve">Enter size of gravel bag</t>
  </si>
  <si>
    <t xml:space="preserve">price: </t>
  </si>
  <si>
    <t xml:space="preserve">each</t>
  </si>
  <si>
    <t xml:space="preserve">sq.ft for minimum flow</t>
  </si>
  <si>
    <t xml:space="preserve">Enter size of sand bag</t>
  </si>
  <si>
    <t xml:space="preserve">Chosen sq. ft.</t>
  </si>
  <si>
    <t xml:space="preserve">Choose sand Type</t>
  </si>
  <si>
    <t xml:space="preserve">There is no lower limit on flow. Lower is better.</t>
  </si>
  <si>
    <t xml:space="preserve">Material List Derived from Choices:</t>
  </si>
  <si>
    <t xml:space="preserve">Materials</t>
  </si>
  <si>
    <t xml:space="preserve">Range of safe flows</t>
  </si>
  <si>
    <t xml:space="preserve">Number of gravel bags:</t>
  </si>
  <si>
    <t xml:space="preserve">Sieving play sand is hard labor</t>
  </si>
  <si>
    <t xml:space="preserve">Low flow</t>
  </si>
  <si>
    <t xml:space="preserve">Gal/hr</t>
  </si>
  <si>
    <t xml:space="preserve">Gal/min</t>
  </si>
  <si>
    <t xml:space="preserve">Number of sand bags:</t>
  </si>
  <si>
    <t xml:space="preserve">Play sand has loss from sieving it.</t>
  </si>
  <si>
    <t xml:space="preserve">Maximum flow</t>
  </si>
  <si>
    <t xml:space="preserve">Cost of gravel:</t>
  </si>
  <si>
    <t xml:space="preserve">Filter sand is cleaner and more uniform</t>
  </si>
  <si>
    <t xml:space="preserve">Cost of sand:</t>
  </si>
  <si>
    <t xml:space="preserve">Filter sand should be used if possible</t>
  </si>
  <si>
    <t xml:space="preserve">quarts/hr</t>
  </si>
  <si>
    <t xml:space="preserve">oz/min</t>
  </si>
  <si>
    <t xml:space="preserve">Total media cost:</t>
  </si>
  <si>
    <t xml:space="preserve">Do not exceed maximum flow rates!</t>
  </si>
  <si>
    <t xml:space="preserve">Media Depth:</t>
  </si>
  <si>
    <t xml:space="preserve">Tap height from bottom:</t>
  </si>
  <si>
    <t xml:space="preserve">Minimum media safe height: </t>
  </si>
  <si>
    <t xml:space="preserve">Yield of Filter</t>
  </si>
  <si>
    <t xml:space="preserve">Gal/day</t>
  </si>
  <si>
    <t xml:space="preserve">Head in ft: </t>
  </si>
  <si>
    <t xml:space="preserve">Capacity check-low flow: </t>
  </si>
  <si>
    <t xml:space="preserve">pressure: </t>
  </si>
  <si>
    <t xml:space="preserve">PSI</t>
  </si>
  <si>
    <t xml:space="preserve">Slow Sand Filter Calculations</t>
  </si>
  <si>
    <t xml:space="preserve">Enter parameters in the green cells. Gold cells are constants.</t>
  </si>
  <si>
    <t xml:space="preserve">liters/sq.meters</t>
  </si>
  <si>
    <t xml:space="preserve">sq. ft</t>
  </si>
  <si>
    <t xml:space="preserve">gals</t>
  </si>
  <si>
    <t xml:space="preserve">1 meter=</t>
  </si>
  <si>
    <t xml:space="preserve">ft.</t>
  </si>
  <si>
    <t xml:space="preserve">ft head to psi</t>
  </si>
  <si>
    <t xml:space="preserve">low flow</t>
  </si>
  <si>
    <t xml:space="preserve">maximum</t>
  </si>
  <si>
    <t xml:space="preserve">Safe limits</t>
  </si>
  <si>
    <t xml:space="preserve">liters/msq/hr</t>
  </si>
  <si>
    <t xml:space="preserve">psi /ft</t>
  </si>
  <si>
    <t xml:space="preserve">from head</t>
  </si>
  <si>
    <t xml:space="preserve">Liter / gal</t>
  </si>
  <si>
    <t xml:space="preserve">Enter dimensions of filter to calculate:</t>
  </si>
  <si>
    <t xml:space="preserve">gals/sq. ft/hr</t>
  </si>
  <si>
    <t xml:space="preserve">Diameter in feet</t>
  </si>
  <si>
    <t xml:space="preserve">sq. ft surface</t>
  </si>
  <si>
    <t xml:space="preserve">gals/min/sq.ft</t>
  </si>
  <si>
    <t xml:space="preserve">sq. ft.</t>
  </si>
  <si>
    <t xml:space="preserve">gals/day/sq.ft</t>
  </si>
  <si>
    <t xml:space="preserve">safe media depth</t>
  </si>
  <si>
    <t xml:space="preserve">Best</t>
  </si>
  <si>
    <t xml:space="preserve">Minimum</t>
  </si>
  <si>
    <t xml:space="preserve">(not recommended)</t>
  </si>
  <si>
    <t xml:space="preserve">for contaminated</t>
  </si>
  <si>
    <t xml:space="preserve">water sources</t>
  </si>
  <si>
    <t xml:space="preserve">Safe flow rate:</t>
  </si>
  <si>
    <t xml:space="preserve">round</t>
  </si>
  <si>
    <t xml:space="preserve">rectangle</t>
  </si>
  <si>
    <t xml:space="preserve">gals/hr  low flow</t>
  </si>
  <si>
    <t xml:space="preserve">Total height: </t>
  </si>
  <si>
    <t xml:space="preserve">Low flow is better, but it is not the minimum rate.</t>
  </si>
  <si>
    <t xml:space="preserve">gals/hr  max flow</t>
  </si>
  <si>
    <t xml:space="preserve">inches: </t>
  </si>
  <si>
    <t xml:space="preserve">The slower the better filtration. The max are safety</t>
  </si>
  <si>
    <t xml:space="preserve">gals/min low flow</t>
  </si>
  <si>
    <r>
      <rPr>
        <sz val="11"/>
        <color rgb="FF000000"/>
        <rFont val="Calibri"/>
        <family val="2"/>
      </rPr>
      <t xml:space="preserve">limits and not design requirements.</t>
    </r>
    <r>
      <rPr>
        <b val="true"/>
        <sz val="11"/>
        <color rgb="FFFF0000"/>
        <rFont val="Calibri"/>
        <family val="2"/>
      </rPr>
      <t xml:space="preserve"> DO NOT </t>
    </r>
  </si>
  <si>
    <t xml:space="preserve">gals/min max flow</t>
  </si>
  <si>
    <t xml:space="preserve">head height: </t>
  </si>
  <si>
    <t xml:space="preserve">Exceed the maximum rate!</t>
  </si>
  <si>
    <t xml:space="preserve">gals/day  low flow</t>
  </si>
  <si>
    <t xml:space="preserve">gals/day max flow</t>
  </si>
  <si>
    <t xml:space="preserve">Chosen head: </t>
  </si>
  <si>
    <t xml:space="preserve">Calculate desired size of filter</t>
  </si>
  <si>
    <t xml:space="preserve">media depth: </t>
  </si>
  <si>
    <t xml:space="preserve">Desired flow/day</t>
  </si>
  <si>
    <t xml:space="preserve">Liters</t>
  </si>
  <si>
    <t xml:space="preserve">tap depth: </t>
  </si>
  <si>
    <t xml:space="preserve">inches from bottom</t>
  </si>
  <si>
    <t xml:space="preserve">gals/day</t>
  </si>
  <si>
    <t xml:space="preserve">sq. ft. high</t>
  </si>
  <si>
    <t xml:space="preserve">psi</t>
  </si>
  <si>
    <t xml:space="preserve">sq. ft. low</t>
  </si>
  <si>
    <t xml:space="preserve">Calculate feet from inches:</t>
  </si>
  <si>
    <t xml:space="preserve">inches =</t>
  </si>
  <si>
    <t xml:space="preserve">Calculate media</t>
  </si>
  <si>
    <t xml:space="preserve">bags</t>
  </si>
  <si>
    <t xml:space="preserve">Gravel</t>
  </si>
  <si>
    <t xml:space="preserve">cu.ft.</t>
  </si>
  <si>
    <t xml:space="preserve">cu.ft/bag</t>
  </si>
  <si>
    <t xml:space="preserve">Sand</t>
  </si>
  <si>
    <t xml:space="preserve">Bags</t>
  </si>
  <si>
    <t xml:space="preserve">Home Depot costs</t>
  </si>
  <si>
    <t xml:space="preserve">play sand (loss)</t>
  </si>
  <si>
    <t xml:space="preserve">filter sand (no loss)</t>
  </si>
  <si>
    <t xml:space="preserve">diff:</t>
  </si>
  <si>
    <t xml:space="preserve">sand </t>
  </si>
  <si>
    <t xml:space="preserve">chosen</t>
  </si>
  <si>
    <t xml:space="preserve">Date</t>
  </si>
  <si>
    <t xml:space="preserve">Piezometer</t>
  </si>
  <si>
    <t xml:space="preserve">Measurements:</t>
  </si>
  <si>
    <t xml:space="preserve">gph</t>
  </si>
  <si>
    <t xml:space="preserve">gpday</t>
  </si>
  <si>
    <t xml:space="preserve">Inches</t>
  </si>
  <si>
    <t xml:space="preserve">Notes:</t>
  </si>
  <si>
    <t xml:space="preserve">oz/cup</t>
  </si>
  <si>
    <t xml:space="preserve">Back-flushed and started testing at 3:00 PM. Added fish water to start Schmutzdecke growing.</t>
  </si>
  <si>
    <t xml:space="preserve">cups/qt</t>
  </si>
  <si>
    <t xml:space="preserve">Back-flushed and started testing at 12:00 PM. 3/16 orfice installed. Water is milky.</t>
  </si>
  <si>
    <t xml:space="preserve">qt /gal</t>
  </si>
  <si>
    <t xml:space="preserve">oz/gal</t>
  </si>
  <si>
    <t xml:space="preserve">oz/hour</t>
  </si>
  <si>
    <t xml:space="preserve">gal/hour</t>
  </si>
  <si>
    <t xml:space="preserve">Convert</t>
  </si>
  <si>
    <t xml:space="preserve">cups</t>
  </si>
  <si>
    <t xml:space="preserve">oz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</si>
</sst>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$&quot;* #,##0.00\ ;&quot; $&quot;* \(#,##0.00\);&quot; $&quot;* \-#\ ;\ @\ "/>
    <numFmt numFmtId="166" formatCode="0.00"/>
    <numFmt numFmtId="167" formatCode="0.0"/>
    <numFmt numFmtId="168" formatCode="\ * #,##0.00\ ;\ * \(#,##0.00\);\ * \-#\ ;\ @\ "/>
    <numFmt numFmtId="169" formatCode="D\-MMM"/>
  </numFmts>
  <fonts count="3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6"/>
      <color rgb="FF000000"/>
      <name val="Calibri"/>
      <family val="2"/>
    </font>
    <font>
      <sz val="11"/>
      <color rgb="FF9C6500"/>
      <name val="Calibri"/>
      <family val="2"/>
    </font>
    <font>
      <b val="true"/>
      <sz val="11"/>
      <color rgb="FF000000"/>
      <name val="Calibri"/>
      <family val="2"/>
    </font>
    <font>
      <b val="true"/>
      <sz val="11"/>
      <color rgb="FF006100"/>
      <name val="Calibri"/>
      <family val="2"/>
    </font>
    <font>
      <sz val="11"/>
      <color rgb="FF006100"/>
      <name val="Calibri"/>
      <family val="2"/>
    </font>
    <font>
      <b val="true"/>
      <sz val="11"/>
      <color rgb="FF9C0006"/>
      <name val="Calibri"/>
      <family val="2"/>
    </font>
    <font>
      <sz val="11"/>
      <color rgb="FF9C0006"/>
      <name val="Calibri"/>
      <family val="2"/>
    </font>
    <font>
      <sz val="11"/>
      <name val="Calibri"/>
      <family val="2"/>
    </font>
    <font>
      <b val="true"/>
      <sz val="11"/>
      <color rgb="FF7030A0"/>
      <name val="Calibri"/>
      <family val="2"/>
    </font>
    <font>
      <b val="true"/>
      <sz val="11"/>
      <color rgb="FFFF0000"/>
      <name val="Calibri"/>
      <family val="2"/>
    </font>
    <font>
      <sz val="11"/>
      <color rgb="FFFF0000"/>
      <name val="Calibri"/>
      <family val="2"/>
    </font>
    <font>
      <b val="true"/>
      <sz val="11"/>
      <color rgb="FF94070A"/>
      <name val="Calibri"/>
      <family val="2"/>
    </font>
    <font>
      <b val="true"/>
      <sz val="11"/>
      <color rgb="FF9C6500"/>
      <name val="Calibri"/>
      <family val="2"/>
    </font>
    <font>
      <sz val="10"/>
      <color rgb="FF000000"/>
      <name val="Calibri"/>
      <family val="2"/>
    </font>
    <font>
      <b val="true"/>
      <sz val="11"/>
      <color rgb="FFFA7D00"/>
      <name val="Calibri"/>
      <family val="2"/>
    </font>
    <font>
      <b val="true"/>
      <sz val="11"/>
      <color rgb="FF00B050"/>
      <name val="Calibri"/>
      <family val="2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CCFFCC"/>
      </patternFill>
    </fill>
    <fill>
      <patternFill patternType="solid">
        <fgColor rgb="FFFFC7CE"/>
        <bgColor rgb="FFFFCCCC"/>
      </patternFill>
    </fill>
    <fill>
      <patternFill patternType="solid">
        <fgColor rgb="FFF2F2F2"/>
        <bgColor rgb="FFDBEEF4"/>
      </patternFill>
    </fill>
    <fill>
      <patternFill patternType="solid">
        <fgColor rgb="FFD7E4BD"/>
        <bgColor rgb="FFDDDDDD"/>
      </patternFill>
    </fill>
    <fill>
      <patternFill patternType="solid">
        <fgColor rgb="FFDBEEF4"/>
        <bgColor rgb="FFE6E0EC"/>
      </patternFill>
    </fill>
    <fill>
      <patternFill patternType="solid">
        <fgColor rgb="FFCCC1DA"/>
        <bgColor rgb="FFBFBFBF"/>
      </patternFill>
    </fill>
    <fill>
      <patternFill patternType="solid">
        <fgColor rgb="FFB7DEE8"/>
        <bgColor rgb="FFC6EFCE"/>
      </patternFill>
    </fill>
    <fill>
      <patternFill patternType="solid">
        <fgColor rgb="FFBFBFBF"/>
        <bgColor rgb="FFCCC1DA"/>
      </patternFill>
    </fill>
    <fill>
      <patternFill patternType="solid">
        <fgColor rgb="FFE6E0EC"/>
        <bgColor rgb="FFDDDDDD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/>
      <right style="thin">
        <color rgb="FF7F7F7F"/>
      </right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>
        <color rgb="FF7F7F7F"/>
      </top>
      <bottom style="medium"/>
      <diagonal/>
    </border>
    <border diagonalUp="false" diagonalDown="false">
      <left style="medium"/>
      <right style="medium"/>
      <top style="thin">
        <color rgb="FF7F7F7F"/>
      </top>
      <bottom style="thin">
        <color rgb="FF7F7F7F"/>
      </bottom>
      <diagonal/>
    </border>
    <border diagonalUp="false" diagonalDown="false">
      <left style="medium"/>
      <right style="medium"/>
      <top style="thin">
        <color rgb="FF7F7F7F"/>
      </top>
      <bottom style="medium"/>
      <diagonal/>
    </border>
    <border diagonalUp="false" diagonalDown="false">
      <left style="thin">
        <color rgb="FF7F7F7F"/>
      </left>
      <right style="thin">
        <color rgb="FF7F7F7F"/>
      </right>
      <top style="medium"/>
      <bottom style="thin">
        <color rgb="FF7F7F7F"/>
      </bottom>
      <diagonal/>
    </border>
    <border diagonalUp="false" diagonalDown="false">
      <left style="thin">
        <color rgb="FF7F7F7F"/>
      </left>
      <right style="medium"/>
      <top style="medium"/>
      <bottom style="thin">
        <color rgb="FF7F7F7F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medium"/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medium"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7F7F7F"/>
      </left>
      <right style="medium"/>
      <top style="thin">
        <color rgb="FF7F7F7F"/>
      </top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>
        <color rgb="FF7F7F7F"/>
      </left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 style="thin">
        <color rgb="FF7F7F7F"/>
      </right>
      <top style="thin">
        <color rgb="FF7F7F7F"/>
      </top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7" fillId="9" borderId="0" applyFont="true" applyBorder="false" applyAlignment="true" applyProtection="false">
      <alignment horizontal="general" vertical="bottom" textRotation="0" wrapText="false" indent="0" shrinkToFit="false"/>
    </xf>
    <xf numFmtId="164" fontId="20" fillId="10" borderId="0" applyFont="true" applyBorder="false" applyAlignment="true" applyProtection="false">
      <alignment horizontal="general" vertical="bottom" textRotation="0" wrapText="false" indent="0" shrinkToFit="false"/>
    </xf>
    <xf numFmtId="164" fontId="22" fillId="11" borderId="0" applyFont="true" applyBorder="false" applyAlignment="true" applyProtection="false">
      <alignment horizontal="general" vertical="bottom" textRotation="0" wrapText="false" indent="0" shrinkToFit="false"/>
    </xf>
    <xf numFmtId="164" fontId="30" fillId="12" borderId="2" applyFont="true" applyBorder="true" applyAlignment="true" applyProtection="false">
      <alignment horizontal="general" vertical="bottom" textRotation="0" wrapText="false" indent="0" shrinkToFit="false"/>
    </xf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9" borderId="6" xfId="3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9" borderId="6" xfId="3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9" borderId="7" xfId="3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1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9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11" borderId="6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3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10" xfId="3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3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3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6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8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9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13" borderId="8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9" xfId="3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3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13" borderId="9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8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5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5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6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1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6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1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16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9" borderId="6" xfId="3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6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9" borderId="6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12" borderId="22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7" fillId="12" borderId="2" xfId="4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9" fillId="14" borderId="11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7" fillId="12" borderId="23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12" borderId="2" xfId="4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7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4" borderId="28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12" borderId="29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9" borderId="2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12" borderId="30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12" borderId="31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7" fillId="12" borderId="3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12" borderId="3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14" borderId="6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7" fillId="12" borderId="3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12" borderId="3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14" borderId="6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7" fillId="12" borderId="37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7" fillId="12" borderId="3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12" borderId="3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16" borderId="6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5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12" borderId="2" xfId="4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14" borderId="43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7" fillId="12" borderId="44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12" borderId="45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0" borderId="6" xfId="38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9" borderId="6" xfId="3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4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7" fillId="9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1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6" xfId="38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0" fillId="12" borderId="6" xfId="4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0" fillId="10" borderId="6" xfId="38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12" borderId="22" xfId="4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0" fillId="12" borderId="2" xfId="4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0" fillId="12" borderId="2" xfId="4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12" borderId="6" xfId="4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2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Excel Built-in Neutral" xfId="37" builtinId="53" customBuiltin="true"/>
    <cellStyle name="Excel Built-in Good" xfId="38" builtinId="53" customBuiltin="true"/>
    <cellStyle name="Excel Built-in Bad" xfId="39" builtinId="53" customBuiltin="true"/>
    <cellStyle name="Excel Built-in Calculation" xfId="40" builtinId="53" customBuiltin="true"/>
  </cellStyles>
  <dxfs count="6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EE"/>
      <rgbColor rgb="FFF2F2F2"/>
      <rgbColor rgb="FFFF00FF"/>
      <rgbColor rgb="FF00FFFF"/>
      <rgbColor rgb="FF94070A"/>
      <rgbColor rgb="FF006600"/>
      <rgbColor rgb="FF000080"/>
      <rgbColor rgb="FF996600"/>
      <rgbColor rgb="FF800080"/>
      <rgbColor rgb="FF008080"/>
      <rgbColor rgb="FFBFBFBF"/>
      <rgbColor rgb="FF808080"/>
      <rgbColor rgb="FFE6E0EC"/>
      <rgbColor rgb="FF7030A0"/>
      <rgbColor rgb="FFFFFFCC"/>
      <rgbColor rgb="FFDBEEF4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6EFCE"/>
      <rgbColor rgb="FFCCFFCC"/>
      <rgbColor rgb="FFFFEB9C"/>
      <rgbColor rgb="FFB7DEE8"/>
      <rgbColor rgb="FFFFC7CE"/>
      <rgbColor rgb="FFDDDDDD"/>
      <rgbColor rgb="FFFFCCCC"/>
      <rgbColor rgb="FF3366FF"/>
      <rgbColor rgb="FF33CCCC"/>
      <rgbColor rgb="FF99CC00"/>
      <rgbColor rgb="FFD7E4BD"/>
      <rgbColor rgb="FFFF9900"/>
      <rgbColor rgb="FFFA7D00"/>
      <rgbColor rgb="FF666699"/>
      <rgbColor rgb="FF7F7F7F"/>
      <rgbColor rgb="FF003366"/>
      <rgbColor rgb="FF00B050"/>
      <rgbColor rgb="FF006100"/>
      <rgbColor rgb="FF333300"/>
      <rgbColor rgb="FF9C6500"/>
      <rgbColor rgb="FFCC000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590400</xdr:colOff>
      <xdr:row>18</xdr:row>
      <xdr:rowOff>52560</xdr:rowOff>
    </xdr:from>
    <xdr:to>
      <xdr:col>8</xdr:col>
      <xdr:colOff>457200</xdr:colOff>
      <xdr:row>23</xdr:row>
      <xdr:rowOff>46440</xdr:rowOff>
    </xdr:to>
    <xdr:sp>
      <xdr:nvSpPr>
        <xdr:cNvPr id="0" name="TextShape 1"/>
        <xdr:cNvSpPr txBox="1"/>
      </xdr:nvSpPr>
      <xdr:spPr>
        <a:xfrm>
          <a:off x="3048480" y="3704400"/>
          <a:ext cx="2943360" cy="910080"/>
        </a:xfrm>
        <a:prstGeom prst="rect">
          <a:avLst/>
        </a:prstGeom>
        <a:noFill/>
        <a:ln>
          <a:noFill/>
        </a:ln>
      </xdr:spPr>
      <xdr:txBody>
        <a:bodyPr lIns="0" rIns="0" tIns="0" bIns="0"/>
        <a:p>
          <a:r>
            <a:rPr b="0" lang="en-US" sz="1200" spc="-1" strike="noStrike">
              <a:latin typeface="Times New Roman"/>
            </a:rPr>
            <a:t>Isn’t your labor to sieve bags of sand worth </a:t>
          </a:r>
          <a:r>
            <a:rPr b="0" lang="en-US" sz="1200" spc="-1" strike="noStrike">
              <a:latin typeface="Times New Roman"/>
            </a:rPr>
            <a:t>spending slightly more for filter sand? Filter </a:t>
          </a:r>
          <a:r>
            <a:rPr b="0" lang="en-US" sz="1200" spc="-1" strike="noStrike">
              <a:latin typeface="Times New Roman"/>
            </a:rPr>
            <a:t>sand is already graded to be used in a water </a:t>
          </a:r>
          <a:r>
            <a:rPr b="0" lang="en-US" sz="1200" spc="-1" strike="noStrike">
              <a:latin typeface="Times New Roman"/>
            </a:rPr>
            <a:t>filter.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5" zeroHeight="false" outlineLevelRow="0" outlineLevelCol="0"/>
  <cols>
    <col collapsed="false" customWidth="true" hidden="false" outlineLevel="0" max="1" min="1" style="0" width="23.71"/>
    <col collapsed="false" customWidth="true" hidden="false" outlineLevel="0" max="2" min="2" style="0" width="9.71"/>
    <col collapsed="false" customWidth="true" hidden="false" outlineLevel="0" max="3" min="3" style="0" width="8.67"/>
    <col collapsed="false" customWidth="true" hidden="false" outlineLevel="0" max="4" min="4" style="0" width="10.29"/>
    <col collapsed="false" customWidth="true" hidden="false" outlineLevel="0" max="5" min="5" style="0" width="7.57"/>
    <col collapsed="false" customWidth="true" hidden="false" outlineLevel="0" max="7" min="6" style="0" width="8.67"/>
    <col collapsed="false" customWidth="false" hidden="false" outlineLevel="0" max="8" min="8" style="0" width="11.42"/>
    <col collapsed="false" customWidth="true" hidden="false" outlineLevel="0" max="9" min="9" style="0" width="9.58"/>
    <col collapsed="false" customWidth="true" hidden="false" outlineLevel="0" max="10" min="10" style="0" width="8.67"/>
    <col collapsed="false" customWidth="true" hidden="false" outlineLevel="0" max="11" min="11" style="0" width="10.14"/>
    <col collapsed="false" customWidth="true" hidden="false" outlineLevel="0" max="1025" min="12" style="0" width="8.67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" hidden="false" customHeight="false" outlineLevel="0" collapsed="false">
      <c r="A2" s="2" t="s">
        <v>1</v>
      </c>
      <c r="B2" s="3" t="s">
        <v>2</v>
      </c>
      <c r="C2" s="4" t="s">
        <v>3</v>
      </c>
      <c r="K2" s="0" t="s">
        <v>4</v>
      </c>
      <c r="L2" s="5" t="n">
        <v>3.47</v>
      </c>
      <c r="N2" s="6" t="s">
        <v>5</v>
      </c>
      <c r="O2" s="6" t="s">
        <v>6</v>
      </c>
    </row>
    <row r="3" customFormat="false" ht="15" hidden="false" customHeight="false" outlineLevel="0" collapsed="false">
      <c r="A3" s="7" t="s">
        <v>7</v>
      </c>
      <c r="B3" s="8" t="n">
        <v>19.5</v>
      </c>
      <c r="C3" s="8" t="n">
        <v>29.5</v>
      </c>
      <c r="E3" s="9"/>
      <c r="F3" s="9"/>
      <c r="G3" s="9"/>
      <c r="K3" s="0" t="s">
        <v>8</v>
      </c>
      <c r="L3" s="5" t="n">
        <v>5.48</v>
      </c>
      <c r="N3" s="10" t="n">
        <v>0</v>
      </c>
      <c r="O3" s="11" t="n">
        <f aca="false">N3*12</f>
        <v>0</v>
      </c>
    </row>
    <row r="4" customFormat="false" ht="15.75" hidden="false" customHeight="false" outlineLevel="0" collapsed="false">
      <c r="A4" s="12" t="s">
        <v>9</v>
      </c>
      <c r="B4" s="13" t="n">
        <v>23.75</v>
      </c>
      <c r="C4" s="13" t="n">
        <v>34.5</v>
      </c>
      <c r="K4" s="0" t="s">
        <v>10</v>
      </c>
      <c r="L4" s="8" t="n">
        <v>0.5</v>
      </c>
    </row>
    <row r="5" customFormat="false" ht="15.75" hidden="false" customHeight="false" outlineLevel="0" collapsed="false">
      <c r="A5" s="14" t="s">
        <v>11</v>
      </c>
      <c r="B5" s="14"/>
      <c r="C5" s="14"/>
      <c r="D5" s="14"/>
      <c r="K5" s="15" t="s">
        <v>12</v>
      </c>
      <c r="L5" s="15"/>
    </row>
    <row r="6" customFormat="false" ht="15.75" hidden="false" customHeight="false" outlineLevel="0" collapsed="false">
      <c r="A6" s="16" t="s">
        <v>13</v>
      </c>
      <c r="B6" s="16"/>
      <c r="C6" s="16"/>
      <c r="D6" s="17" t="s">
        <v>14</v>
      </c>
      <c r="F6" s="18" t="s">
        <v>15</v>
      </c>
      <c r="G6" s="18"/>
      <c r="H6" s="18"/>
      <c r="I6" s="18"/>
      <c r="J6" s="18"/>
      <c r="K6" s="18"/>
    </row>
    <row r="7" customFormat="false" ht="15.75" hidden="false" customHeight="false" outlineLevel="0" collapsed="false">
      <c r="A7" s="19"/>
      <c r="B7" s="20" t="s">
        <v>2</v>
      </c>
      <c r="C7" s="20" t="s">
        <v>3</v>
      </c>
      <c r="D7" s="21"/>
      <c r="F7" s="22" t="s">
        <v>16</v>
      </c>
      <c r="G7" s="22"/>
      <c r="H7" s="22"/>
      <c r="I7" s="22"/>
      <c r="J7" s="22"/>
      <c r="K7" s="22"/>
    </row>
    <row r="8" customFormat="false" ht="15.75" hidden="false" customHeight="false" outlineLevel="0" collapsed="false">
      <c r="A8" s="23" t="s">
        <v>17</v>
      </c>
      <c r="B8" s="24" t="n">
        <v>23.75</v>
      </c>
      <c r="C8" s="25" t="n">
        <v>34.5</v>
      </c>
      <c r="D8" s="26" t="s">
        <v>6</v>
      </c>
      <c r="F8" s="27" t="s">
        <v>18</v>
      </c>
      <c r="G8" s="27"/>
      <c r="H8" s="27"/>
      <c r="I8" s="27"/>
      <c r="J8" s="27"/>
      <c r="K8" s="27"/>
    </row>
    <row r="9" customFormat="false" ht="15.75" hidden="false" customHeight="false" outlineLevel="0" collapsed="false">
      <c r="A9" s="14" t="s">
        <v>19</v>
      </c>
      <c r="B9" s="14"/>
      <c r="C9" s="14"/>
      <c r="D9" s="14"/>
      <c r="U9" s="28"/>
    </row>
    <row r="10" customFormat="false" ht="15.75" hidden="false" customHeight="false" outlineLevel="0" collapsed="false">
      <c r="B10" s="29" t="s">
        <v>20</v>
      </c>
      <c r="C10" s="29" t="s">
        <v>21</v>
      </c>
      <c r="D10" s="30" t="s">
        <v>22</v>
      </c>
    </row>
    <row r="11" customFormat="false" ht="15.75" hidden="false" customHeight="false" outlineLevel="0" collapsed="false">
      <c r="A11" s="23" t="s">
        <v>23</v>
      </c>
      <c r="B11" s="24"/>
      <c r="C11" s="31"/>
      <c r="D11" s="25"/>
      <c r="E11" s="0" t="s">
        <v>6</v>
      </c>
      <c r="G11" s="32" t="s">
        <v>24</v>
      </c>
      <c r="H11" s="32"/>
      <c r="I11" s="32"/>
      <c r="J11" s="32"/>
      <c r="K11" s="32"/>
    </row>
    <row r="12" customFormat="false" ht="13.8" hidden="false" customHeight="false" outlineLevel="0" collapsed="false">
      <c r="A12" s="33" t="s">
        <v>25</v>
      </c>
      <c r="B12" s="33"/>
      <c r="C12" s="33"/>
      <c r="D12" s="33"/>
      <c r="G12" s="34" t="s">
        <v>26</v>
      </c>
      <c r="H12" s="34"/>
      <c r="I12" s="35" t="n">
        <v>300</v>
      </c>
      <c r="J12" s="36" t="s">
        <v>27</v>
      </c>
      <c r="K12" s="37"/>
    </row>
    <row r="13" customFormat="false" ht="13.8" hidden="false" customHeight="false" outlineLevel="0" collapsed="false">
      <c r="A13" s="38" t="s">
        <v>28</v>
      </c>
      <c r="B13" s="39" t="n">
        <v>10</v>
      </c>
    </row>
    <row r="14" customFormat="false" ht="15.75" hidden="false" customHeight="false" outlineLevel="0" collapsed="false">
      <c r="G14" s="40" t="s">
        <v>29</v>
      </c>
      <c r="H14" s="40"/>
      <c r="I14" s="41" t="n">
        <f aca="false">'filter construction'!J22</f>
        <v>0.84887087453124</v>
      </c>
      <c r="J14" s="2" t="s">
        <v>30</v>
      </c>
      <c r="K14" s="26"/>
    </row>
    <row r="15" customFormat="false" ht="15.75" hidden="false" customHeight="false" outlineLevel="0" collapsed="false">
      <c r="A15" s="23" t="s">
        <v>31</v>
      </c>
      <c r="B15" s="39" t="n">
        <v>0.5</v>
      </c>
      <c r="C15" s="42" t="s">
        <v>32</v>
      </c>
      <c r="D15" s="43" t="n">
        <v>3.47</v>
      </c>
      <c r="E15" s="37" t="s">
        <v>33</v>
      </c>
      <c r="F15" s="44"/>
      <c r="G15" s="45"/>
      <c r="I15" s="41" t="n">
        <f aca="false">'filter construction'!J23</f>
        <v>1.69774174906248</v>
      </c>
      <c r="J15" s="36" t="s">
        <v>34</v>
      </c>
      <c r="K15" s="46"/>
      <c r="L15" s="37"/>
    </row>
    <row r="16" customFormat="false" ht="15.75" hidden="false" customHeight="false" outlineLevel="0" collapsed="false">
      <c r="A16" s="47" t="s">
        <v>35</v>
      </c>
      <c r="B16" s="48" t="n">
        <v>0.5</v>
      </c>
      <c r="C16" s="42" t="s">
        <v>32</v>
      </c>
      <c r="D16" s="49" t="n">
        <f aca="false">IF(B18="play sand",L2,L3)</f>
        <v>5.48</v>
      </c>
      <c r="E16" s="37" t="s">
        <v>33</v>
      </c>
      <c r="F16" s="44"/>
      <c r="G16" s="45"/>
    </row>
    <row r="17" customFormat="false" ht="15.75" hidden="false" customHeight="false" outlineLevel="0" collapsed="false">
      <c r="G17" s="50" t="s">
        <v>36</v>
      </c>
      <c r="H17" s="50"/>
      <c r="I17" s="41" t="n">
        <f aca="false">IF(report!D6="cylinder",'filter construction'!K7,'filter construction'!L10)</f>
        <v>3.07648109266493</v>
      </c>
      <c r="J17" s="51" t="str">
        <f aca="false">IF(I17&gt;I15,"safe","unsafe")</f>
        <v>safe</v>
      </c>
    </row>
    <row r="18" customFormat="false" ht="15.75" hidden="false" customHeight="false" outlineLevel="0" collapsed="false">
      <c r="A18" s="52" t="s">
        <v>37</v>
      </c>
      <c r="B18" s="17" t="s">
        <v>8</v>
      </c>
      <c r="G18" s="53" t="s">
        <v>38</v>
      </c>
      <c r="H18" s="53"/>
      <c r="I18" s="53"/>
      <c r="J18" s="53"/>
      <c r="K18" s="53"/>
      <c r="L18" s="53"/>
    </row>
    <row r="19" s="56" customFormat="true" ht="33.75" hidden="false" customHeight="true" outlineLevel="0" collapsed="false">
      <c r="A19" s="54" t="s">
        <v>39</v>
      </c>
      <c r="B19" s="54"/>
      <c r="C19" s="54"/>
      <c r="D19" s="55"/>
      <c r="E19" s="55"/>
      <c r="F19" s="55"/>
      <c r="G19" s="53"/>
      <c r="H19" s="53"/>
      <c r="I19" s="53"/>
      <c r="J19" s="53"/>
      <c r="K19" s="53"/>
      <c r="L19" s="53"/>
    </row>
    <row r="20" customFormat="false" ht="15" hidden="false" customHeight="false" outlineLevel="0" collapsed="false">
      <c r="A20" s="50" t="s">
        <v>40</v>
      </c>
      <c r="G20" s="57" t="s">
        <v>41</v>
      </c>
      <c r="H20" s="58"/>
      <c r="I20" s="58"/>
      <c r="J20" s="58"/>
      <c r="K20" s="58"/>
      <c r="L20" s="59"/>
    </row>
    <row r="21" customFormat="false" ht="15" hidden="false" customHeight="false" outlineLevel="0" collapsed="false">
      <c r="A21" s="44" t="s">
        <v>42</v>
      </c>
      <c r="B21" s="11" t="n">
        <f aca="false">'filter construction'!H30</f>
        <v>2</v>
      </c>
      <c r="C21" s="60" t="s">
        <v>43</v>
      </c>
      <c r="D21" s="60"/>
      <c r="E21" s="60"/>
      <c r="F21" s="60"/>
      <c r="G21" s="61" t="s">
        <v>44</v>
      </c>
      <c r="H21" s="61"/>
      <c r="I21" s="62" t="n">
        <f aca="false">I17*'filter construction'!A6</f>
        <v>15.1008493800849</v>
      </c>
      <c r="J21" s="63" t="s">
        <v>45</v>
      </c>
      <c r="K21" s="62" t="n">
        <f aca="false">I21/60</f>
        <v>0.251680823001415</v>
      </c>
      <c r="L21" s="63" t="s">
        <v>46</v>
      </c>
    </row>
    <row r="22" customFormat="false" ht="15" hidden="false" customHeight="false" outlineLevel="0" collapsed="false">
      <c r="A22" s="44" t="s">
        <v>47</v>
      </c>
      <c r="B22" s="11" t="n">
        <f aca="false">IF(B18="play sand",'filter construction'!C33,'filter construction'!C34)</f>
        <v>10</v>
      </c>
      <c r="C22" s="64" t="s">
        <v>48</v>
      </c>
      <c r="D22" s="64"/>
      <c r="E22" s="64"/>
      <c r="F22" s="64"/>
      <c r="G22" s="65" t="s">
        <v>49</v>
      </c>
      <c r="H22" s="65"/>
      <c r="I22" s="41" t="n">
        <f aca="false">I17*'filter construction'!B6</f>
        <v>22.6512740701274</v>
      </c>
      <c r="J22" s="63" t="s">
        <v>45</v>
      </c>
      <c r="K22" s="41" t="n">
        <f aca="false">I22/60</f>
        <v>0.377521234502123</v>
      </c>
      <c r="L22" s="63" t="s">
        <v>46</v>
      </c>
    </row>
    <row r="23" customFormat="false" ht="15" hidden="false" customHeight="false" outlineLevel="0" collapsed="false">
      <c r="A23" s="44" t="s">
        <v>50</v>
      </c>
      <c r="B23" s="66" t="n">
        <f aca="false">D15*B21</f>
        <v>6.94</v>
      </c>
      <c r="C23" s="64" t="s">
        <v>51</v>
      </c>
      <c r="D23" s="64"/>
      <c r="E23" s="64"/>
      <c r="F23" s="64"/>
      <c r="G23" s="9"/>
      <c r="H23" s="9"/>
      <c r="I23" s="67"/>
      <c r="J23" s="21"/>
      <c r="K23" s="67"/>
      <c r="L23" s="68"/>
    </row>
    <row r="24" customFormat="false" ht="15" hidden="false" customHeight="false" outlineLevel="0" collapsed="false">
      <c r="A24" s="44" t="s">
        <v>52</v>
      </c>
      <c r="B24" s="66" t="n">
        <f aca="false">D16*B22</f>
        <v>54.8</v>
      </c>
      <c r="C24" s="69" t="s">
        <v>53</v>
      </c>
      <c r="D24" s="69"/>
      <c r="E24" s="69"/>
      <c r="F24" s="69"/>
      <c r="G24" s="61" t="s">
        <v>44</v>
      </c>
      <c r="H24" s="61"/>
      <c r="I24" s="70" t="n">
        <f aca="false">I21*4</f>
        <v>60.4033975203397</v>
      </c>
      <c r="J24" s="63" t="s">
        <v>54</v>
      </c>
      <c r="K24" s="70" t="n">
        <f aca="false">K21*128</f>
        <v>32.2151453441811</v>
      </c>
      <c r="L24" s="63" t="s">
        <v>55</v>
      </c>
    </row>
    <row r="25" customFormat="false" ht="15" hidden="false" customHeight="false" outlineLevel="0" collapsed="false">
      <c r="A25" s="50" t="s">
        <v>56</v>
      </c>
      <c r="B25" s="71" t="n">
        <f aca="false">B23+B24</f>
        <v>61.74</v>
      </c>
      <c r="G25" s="65" t="s">
        <v>49</v>
      </c>
      <c r="H25" s="65"/>
      <c r="I25" s="72" t="n">
        <f aca="false">I22*4</f>
        <v>90.6050962805095</v>
      </c>
      <c r="J25" s="73" t="s">
        <v>54</v>
      </c>
      <c r="K25" s="72" t="n">
        <f aca="false">K22*128</f>
        <v>48.3227180162717</v>
      </c>
      <c r="L25" s="63" t="s">
        <v>55</v>
      </c>
    </row>
    <row r="26" customFormat="false" ht="15" hidden="false" customHeight="false" outlineLevel="0" collapsed="false">
      <c r="G26" s="65" t="s">
        <v>57</v>
      </c>
      <c r="H26" s="65"/>
      <c r="I26" s="65"/>
      <c r="J26" s="65"/>
      <c r="K26" s="65"/>
      <c r="L26" s="65"/>
    </row>
    <row r="27" customFormat="false" ht="15" hidden="false" customHeight="false" outlineLevel="0" collapsed="false">
      <c r="A27" s="44" t="s">
        <v>58</v>
      </c>
      <c r="B27" s="11" t="n">
        <f aca="false">'filter construction'!B20</f>
        <v>24.5</v>
      </c>
      <c r="C27" s="0" t="s">
        <v>6</v>
      </c>
      <c r="K27" s="74"/>
      <c r="L27" s="74"/>
    </row>
    <row r="28" customFormat="false" ht="15" hidden="false" customHeight="false" outlineLevel="0" collapsed="false">
      <c r="A28" s="44" t="s">
        <v>59</v>
      </c>
      <c r="B28" s="11" t="n">
        <f aca="false">'filter construction'!B21</f>
        <v>26</v>
      </c>
      <c r="C28" s="0" t="s">
        <v>6</v>
      </c>
      <c r="D28" s="75" t="s">
        <v>60</v>
      </c>
      <c r="E28" s="75"/>
      <c r="F28" s="75"/>
      <c r="G28" s="41" t="n">
        <f aca="false">'filter construction'!E12</f>
        <v>15.748032</v>
      </c>
      <c r="H28" s="51" t="str">
        <f aca="false">IF(B27&gt;G28,"safe","unsafe")</f>
        <v>safe</v>
      </c>
      <c r="K28" s="50" t="s">
        <v>61</v>
      </c>
      <c r="L28" s="50"/>
    </row>
    <row r="29" customFormat="false" ht="15" hidden="false" customHeight="false" outlineLevel="0" collapsed="false">
      <c r="K29" s="70" t="n">
        <f aca="false">I21*24</f>
        <v>362.420385122038</v>
      </c>
      <c r="L29" s="63" t="s">
        <v>62</v>
      </c>
    </row>
    <row r="30" customFormat="false" ht="15" hidden="false" customHeight="false" outlineLevel="0" collapsed="false">
      <c r="A30" s="76" t="s">
        <v>63</v>
      </c>
      <c r="B30" s="41" t="n">
        <f aca="false">'filter construction'!B22</f>
        <v>0.833333333333333</v>
      </c>
      <c r="C30" s="0" t="s">
        <v>6</v>
      </c>
      <c r="D30" s="75" t="s">
        <v>64</v>
      </c>
      <c r="E30" s="75"/>
      <c r="F30" s="75"/>
      <c r="G30" s="77" t="n">
        <f aca="false">K29</f>
        <v>362.420385122038</v>
      </c>
      <c r="H30" s="78" t="str">
        <f aca="false">IF(G30&gt;I12,"adequate","inadequate")</f>
        <v>adequate</v>
      </c>
      <c r="K30" s="70" t="n">
        <f aca="false">I22*24</f>
        <v>543.630577683057</v>
      </c>
      <c r="L30" s="63" t="s">
        <v>62</v>
      </c>
    </row>
    <row r="31" customFormat="false" ht="15" hidden="false" customHeight="false" outlineLevel="0" collapsed="false">
      <c r="A31" s="76" t="s">
        <v>65</v>
      </c>
      <c r="B31" s="41" t="n">
        <f aca="false">'filter construction'!B23</f>
        <v>0.360833333333333</v>
      </c>
      <c r="C31" s="0" t="s">
        <v>66</v>
      </c>
    </row>
  </sheetData>
  <mergeCells count="29">
    <mergeCell ref="A1:L1"/>
    <mergeCell ref="E3:G3"/>
    <mergeCell ref="A5:D5"/>
    <mergeCell ref="K5:L5"/>
    <mergeCell ref="A6:C6"/>
    <mergeCell ref="F6:K6"/>
    <mergeCell ref="F7:K7"/>
    <mergeCell ref="F8:K8"/>
    <mergeCell ref="A9:D9"/>
    <mergeCell ref="G11:K11"/>
    <mergeCell ref="A12:D12"/>
    <mergeCell ref="G12:H12"/>
    <mergeCell ref="G14:H14"/>
    <mergeCell ref="G17:H17"/>
    <mergeCell ref="G18:L19"/>
    <mergeCell ref="A19:C19"/>
    <mergeCell ref="C21:F21"/>
    <mergeCell ref="G21:H21"/>
    <mergeCell ref="C22:F22"/>
    <mergeCell ref="G22:H22"/>
    <mergeCell ref="C23:F23"/>
    <mergeCell ref="C24:F24"/>
    <mergeCell ref="G24:H24"/>
    <mergeCell ref="G25:H25"/>
    <mergeCell ref="G26:L26"/>
    <mergeCell ref="K27:L27"/>
    <mergeCell ref="D28:F28"/>
    <mergeCell ref="K28:L28"/>
    <mergeCell ref="D30:F30"/>
  </mergeCells>
  <conditionalFormatting sqref="J17">
    <cfRule type="cellIs" priority="2" operator="equal" aboveAverage="0" equalAverage="0" bottom="0" percent="0" rank="0" text="" dxfId="0">
      <formula>"unsafe"</formula>
    </cfRule>
    <cfRule type="cellIs" priority="3" operator="equal" aboveAverage="0" equalAverage="0" bottom="0" percent="0" rank="0" text="" dxfId="1">
      <formula>"safe"</formula>
    </cfRule>
  </conditionalFormatting>
  <conditionalFormatting sqref="H28">
    <cfRule type="cellIs" priority="4" operator="equal" aboveAverage="0" equalAverage="0" bottom="0" percent="0" rank="0" text="" dxfId="2">
      <formula>"unsafe"</formula>
    </cfRule>
    <cfRule type="cellIs" priority="5" operator="equal" aboveAverage="0" equalAverage="0" bottom="0" percent="0" rank="0" text="" dxfId="3">
      <formula>"safe"</formula>
    </cfRule>
  </conditionalFormatting>
  <conditionalFormatting sqref="H30">
    <cfRule type="cellIs" priority="6" operator="equal" aboveAverage="0" equalAverage="0" bottom="0" percent="0" rank="0" text="" dxfId="4">
      <formula>"adequate"</formula>
    </cfRule>
    <cfRule type="cellIs" priority="7" operator="equal" aboveAverage="0" equalAverage="0" bottom="0" percent="0" rank="0" text="" dxfId="5">
      <formula>"inadequate"</formula>
    </cfRule>
  </conditionalFormatting>
  <dataValidations count="4">
    <dataValidation allowBlank="true" operator="equal" showDropDown="false" showErrorMessage="true" showInputMessage="true" sqref="D6:D7" type="list">
      <formula1>"cylinder,rectangle"</formula1>
      <formula2>0</formula2>
    </dataValidation>
    <dataValidation allowBlank="true" operator="equal" showDropDown="false" showErrorMessage="true" showInputMessage="true" sqref="U9 B18" type="list">
      <formula1>"play sand,filter sand"</formula1>
      <formula2>0</formula2>
    </dataValidation>
    <dataValidation allowBlank="true" operator="equal" showDropDown="false" showErrorMessage="true" showInputMessage="true" sqref="B13" type="list">
      <formula1>"6,7,8,10,11,12"</formula1>
      <formula2>0</formula2>
    </dataValidation>
    <dataValidation allowBlank="true" operator="equal" showDropDown="false" showErrorMessage="true" showInputMessage="true" sqref="D16" type="list">
      <formula1>$L$2:$L$3</formula1>
      <formula2>0</formula2>
    </dataValidation>
  </dataValidations>
  <printOptions headings="false" gridLines="false" gridLinesSet="true" horizontalCentered="false" verticalCentered="false"/>
  <pageMargins left="0.45" right="0.45" top="0.5" bottom="0.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RowHeight="15" zeroHeight="false" outlineLevelRow="0" outlineLevelCol="0"/>
  <cols>
    <col collapsed="false" customWidth="true" hidden="false" outlineLevel="0" max="1" min="1" style="0" width="12.98"/>
    <col collapsed="false" customWidth="true" hidden="false" outlineLevel="0" max="2" min="2" style="0" width="9.71"/>
    <col collapsed="false" customWidth="true" hidden="false" outlineLevel="0" max="3" min="3" style="0" width="12.14"/>
    <col collapsed="false" customWidth="true" hidden="false" outlineLevel="0" max="4" min="4" style="0" width="8.67"/>
    <col collapsed="false" customWidth="true" hidden="false" outlineLevel="0" max="5" min="5" style="0" width="10.29"/>
    <col collapsed="false" customWidth="true" hidden="false" outlineLevel="0" max="6" min="6" style="0" width="8.67"/>
    <col collapsed="false" customWidth="true" hidden="false" outlineLevel="0" max="7" min="7" style="0" width="7.29"/>
    <col collapsed="false" customWidth="true" hidden="false" outlineLevel="0" max="8" min="8" style="0" width="8.67"/>
    <col collapsed="false" customWidth="true" hidden="false" outlineLevel="0" max="9" min="9" style="0" width="10"/>
    <col collapsed="false" customWidth="true" hidden="false" outlineLevel="0" max="10" min="10" style="0" width="17.42"/>
    <col collapsed="false" customWidth="true" hidden="false" outlineLevel="0" max="11" min="11" style="0" width="12.42"/>
    <col collapsed="false" customWidth="true" hidden="false" outlineLevel="0" max="12" min="12" style="0" width="13.14"/>
    <col collapsed="false" customWidth="true" hidden="false" outlineLevel="0" max="13" min="13" style="0" width="45.99"/>
    <col collapsed="false" customWidth="true" hidden="false" outlineLevel="0" max="1025" min="14" style="0" width="8.67"/>
  </cols>
  <sheetData>
    <row r="1" customFormat="false" ht="25.5" hidden="false" customHeight="true" outlineLevel="0" collapsed="false">
      <c r="A1" s="79" t="s">
        <v>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81" customFormat="true" ht="32.25" hidden="false" customHeight="true" outlineLevel="0" collapsed="false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customFormat="false" ht="13.8" hidden="false" customHeight="false" outlineLevel="0" collapsed="false">
      <c r="A3" s="82" t="s">
        <v>69</v>
      </c>
      <c r="B3" s="82"/>
      <c r="D3" s="83" t="n">
        <v>10.7639</v>
      </c>
      <c r="E3" s="0" t="s">
        <v>70</v>
      </c>
      <c r="F3" s="83" t="n">
        <v>0.264172</v>
      </c>
      <c r="G3" s="0" t="s">
        <v>71</v>
      </c>
      <c r="H3" s="0" t="s">
        <v>72</v>
      </c>
      <c r="I3" s="83" t="n">
        <v>3.28084</v>
      </c>
      <c r="J3" s="0" t="s">
        <v>73</v>
      </c>
      <c r="K3" s="84" t="n">
        <v>0.433</v>
      </c>
      <c r="L3" s="0" t="s">
        <v>74</v>
      </c>
    </row>
    <row r="4" customFormat="false" ht="15" hidden="false" customHeight="false" outlineLevel="0" collapsed="false">
      <c r="A4" s="63" t="s">
        <v>75</v>
      </c>
      <c r="B4" s="63" t="s">
        <v>76</v>
      </c>
      <c r="C4" s="85" t="s">
        <v>77</v>
      </c>
      <c r="D4" s="86"/>
      <c r="E4" s="56"/>
      <c r="F4" s="86"/>
      <c r="G4" s="56"/>
      <c r="H4" s="56"/>
      <c r="I4" s="86"/>
    </row>
    <row r="5" customFormat="false" ht="13.8" hidden="false" customHeight="false" outlineLevel="0" collapsed="false">
      <c r="A5" s="87" t="n">
        <v>200</v>
      </c>
      <c r="B5" s="87" t="n">
        <v>300</v>
      </c>
      <c r="C5" s="88" t="s">
        <v>78</v>
      </c>
      <c r="D5" s="84" t="n">
        <v>2.30665</v>
      </c>
      <c r="E5" s="0" t="s">
        <v>79</v>
      </c>
      <c r="F5" s="0" t="s">
        <v>80</v>
      </c>
      <c r="H5" s="89" t="n">
        <v>3.7854</v>
      </c>
      <c r="I5" s="6" t="s">
        <v>81</v>
      </c>
      <c r="J5" s="9" t="s">
        <v>82</v>
      </c>
      <c r="K5" s="9"/>
      <c r="L5" s="9"/>
    </row>
    <row r="6" customFormat="false" ht="15.75" hidden="false" customHeight="false" outlineLevel="0" collapsed="false">
      <c r="A6" s="90" t="n">
        <f aca="false">A5*F3/D3</f>
        <v>4.90848112672916</v>
      </c>
      <c r="B6" s="90" t="n">
        <f aca="false">B5*F3/D3</f>
        <v>7.36272169009374</v>
      </c>
      <c r="C6" s="88" t="s">
        <v>83</v>
      </c>
      <c r="D6" s="91"/>
      <c r="J6" s="0" t="s">
        <v>84</v>
      </c>
      <c r="K6" s="0" t="s">
        <v>85</v>
      </c>
    </row>
    <row r="7" customFormat="false" ht="13.8" hidden="false" customHeight="false" outlineLevel="0" collapsed="false">
      <c r="A7" s="92" t="n">
        <f aca="false">A6/60</f>
        <v>0.0818080187788193</v>
      </c>
      <c r="B7" s="92" t="n">
        <f aca="false">B6/60</f>
        <v>0.122712028168229</v>
      </c>
      <c r="C7" s="88" t="s">
        <v>86</v>
      </c>
      <c r="D7" s="91"/>
      <c r="J7" s="93" t="n">
        <f aca="false">report!B8/12</f>
        <v>1.97916666666667</v>
      </c>
      <c r="K7" s="94" t="n">
        <f aca="false">((J7/2)^2)*3.14159</f>
        <v>3.07648109266493</v>
      </c>
      <c r="L7" s="95" t="s">
        <v>87</v>
      </c>
    </row>
    <row r="8" customFormat="false" ht="15.75" hidden="false" customHeight="false" outlineLevel="0" collapsed="false">
      <c r="A8" s="96" t="n">
        <f aca="false">A6*24</f>
        <v>117.8035470415</v>
      </c>
      <c r="B8" s="96" t="n">
        <f aca="false">B6*24</f>
        <v>176.70532056225</v>
      </c>
      <c r="C8" s="88" t="s">
        <v>88</v>
      </c>
      <c r="D8" s="91"/>
      <c r="J8" s="97"/>
      <c r="K8" s="97"/>
      <c r="L8" s="97"/>
    </row>
    <row r="9" customFormat="false" ht="15.75" hidden="false" customHeight="false" outlineLevel="0" collapsed="false">
      <c r="J9" s="98" t="s">
        <v>20</v>
      </c>
      <c r="K9" s="99" t="s">
        <v>21</v>
      </c>
      <c r="L9" s="100" t="s">
        <v>87</v>
      </c>
    </row>
    <row r="10" customFormat="false" ht="13.8" hidden="false" customHeight="false" outlineLevel="0" collapsed="false">
      <c r="A10" s="101" t="s">
        <v>89</v>
      </c>
      <c r="B10" s="101"/>
      <c r="D10" s="102" t="s">
        <v>90</v>
      </c>
      <c r="E10" s="103" t="s">
        <v>91</v>
      </c>
      <c r="G10" s="85" t="s">
        <v>92</v>
      </c>
      <c r="H10" s="104"/>
      <c r="J10" s="105" t="n">
        <f aca="false">report!B11/12</f>
        <v>0</v>
      </c>
      <c r="K10" s="105" t="n">
        <f aca="false">report!C11/12</f>
        <v>0</v>
      </c>
      <c r="L10" s="106" t="n">
        <f aca="false">J10*K10</f>
        <v>0</v>
      </c>
    </row>
    <row r="11" customFormat="false" ht="13.8" hidden="false" customHeight="false" outlineLevel="0" collapsed="false">
      <c r="A11" s="107" t="n">
        <v>0.73</v>
      </c>
      <c r="B11" s="107" t="n">
        <v>0.4</v>
      </c>
      <c r="C11" s="6"/>
      <c r="D11" s="108" t="n">
        <f aca="false">A11*I3</f>
        <v>2.3950132</v>
      </c>
      <c r="E11" s="108" t="n">
        <f aca="false">B11*I3</f>
        <v>1.312336</v>
      </c>
      <c r="F11" s="0" t="s">
        <v>5</v>
      </c>
      <c r="G11" s="101" t="s">
        <v>93</v>
      </c>
      <c r="H11" s="101"/>
    </row>
    <row r="12" customFormat="false" ht="15.75" hidden="false" customHeight="false" outlineLevel="0" collapsed="false">
      <c r="D12" s="109" t="n">
        <f aca="false">D11*12</f>
        <v>28.7401584</v>
      </c>
      <c r="E12" s="109" t="n">
        <f aca="false">E11*12</f>
        <v>15.748032</v>
      </c>
      <c r="F12" s="0" t="s">
        <v>6</v>
      </c>
      <c r="G12" s="101" t="s">
        <v>94</v>
      </c>
      <c r="H12" s="101"/>
      <c r="J12" s="0" t="s">
        <v>95</v>
      </c>
      <c r="K12" s="6" t="s">
        <v>96</v>
      </c>
      <c r="L12" s="6" t="s">
        <v>97</v>
      </c>
    </row>
    <row r="13" customFormat="false" ht="13.8" hidden="false" customHeight="false" outlineLevel="0" collapsed="false">
      <c r="J13" s="110" t="s">
        <v>98</v>
      </c>
      <c r="K13" s="111" t="n">
        <f aca="false">(K7*A6)</f>
        <v>15.1008493800849</v>
      </c>
      <c r="L13" s="112" t="n">
        <f aca="false">L10*A6</f>
        <v>0</v>
      </c>
    </row>
    <row r="14" customFormat="false" ht="13.8" hidden="false" customHeight="false" outlineLevel="0" collapsed="false">
      <c r="A14" s="44" t="s">
        <v>99</v>
      </c>
      <c r="B14" s="113" t="n">
        <f aca="false">IF(report!D6="cylinder",report!C8/12,report!D11/12)</f>
        <v>2.875</v>
      </c>
      <c r="C14" s="0" t="s">
        <v>5</v>
      </c>
      <c r="E14" s="85" t="s">
        <v>100</v>
      </c>
      <c r="J14" s="114" t="s">
        <v>101</v>
      </c>
      <c r="K14" s="115" t="n">
        <f aca="false">K7*B6</f>
        <v>22.6512740701274</v>
      </c>
      <c r="L14" s="116" t="n">
        <f aca="false">L10*B6</f>
        <v>0</v>
      </c>
    </row>
    <row r="15" customFormat="false" ht="13.8" hidden="false" customHeight="false" outlineLevel="0" collapsed="false">
      <c r="A15" s="44" t="s">
        <v>102</v>
      </c>
      <c r="B15" s="117" t="n">
        <f aca="false">IF(report!D6="cylinder",report!C8,report!D11)</f>
        <v>34.5</v>
      </c>
      <c r="C15" s="0" t="s">
        <v>6</v>
      </c>
      <c r="E15" s="0" t="s">
        <v>103</v>
      </c>
      <c r="J15" s="110" t="s">
        <v>104</v>
      </c>
      <c r="K15" s="111" t="n">
        <f aca="false">K7*A7</f>
        <v>0.251680823001415</v>
      </c>
      <c r="L15" s="112" t="n">
        <f aca="false">L10*A7</f>
        <v>0</v>
      </c>
    </row>
    <row r="16" customFormat="false" ht="13.8" hidden="false" customHeight="false" outlineLevel="0" collapsed="false">
      <c r="A16" s="44"/>
      <c r="B16" s="0" t="s">
        <v>90</v>
      </c>
      <c r="C16" s="85" t="s">
        <v>91</v>
      </c>
      <c r="E16" s="0" t="s">
        <v>105</v>
      </c>
      <c r="J16" s="114" t="s">
        <v>106</v>
      </c>
      <c r="K16" s="115" t="n">
        <f aca="false">K7*B7</f>
        <v>0.377521234502123</v>
      </c>
      <c r="L16" s="116" t="n">
        <f aca="false">L10*B7</f>
        <v>0</v>
      </c>
    </row>
    <row r="17" customFormat="false" ht="13.8" hidden="false" customHeight="false" outlineLevel="0" collapsed="false">
      <c r="A17" s="44" t="s">
        <v>107</v>
      </c>
      <c r="B17" s="96" t="n">
        <f aca="false">B14-D11</f>
        <v>0.4799868</v>
      </c>
      <c r="C17" s="96" t="n">
        <f aca="false">B14-E11</f>
        <v>1.562664</v>
      </c>
      <c r="D17" s="0" t="s">
        <v>5</v>
      </c>
      <c r="E17" s="85" t="s">
        <v>108</v>
      </c>
      <c r="J17" s="118" t="s">
        <v>109</v>
      </c>
      <c r="K17" s="111" t="n">
        <f aca="false">K13*24</f>
        <v>362.420385122038</v>
      </c>
      <c r="L17" s="112" t="n">
        <f aca="false">L13*24</f>
        <v>0</v>
      </c>
    </row>
    <row r="18" customFormat="false" ht="13.8" hidden="false" customHeight="false" outlineLevel="0" collapsed="false">
      <c r="A18" s="44"/>
      <c r="B18" s="119" t="n">
        <f aca="false">B15-D12</f>
        <v>5.7598416</v>
      </c>
      <c r="C18" s="96" t="n">
        <f aca="false">B15-E12</f>
        <v>18.751968</v>
      </c>
      <c r="D18" s="0" t="s">
        <v>6</v>
      </c>
      <c r="J18" s="120" t="s">
        <v>110</v>
      </c>
      <c r="K18" s="121" t="n">
        <f aca="false">K14*24</f>
        <v>543.630577683057</v>
      </c>
      <c r="L18" s="122" t="n">
        <f aca="false">L14*24</f>
        <v>0</v>
      </c>
    </row>
    <row r="19" customFormat="false" ht="14.25" hidden="false" customHeight="true" outlineLevel="0" collapsed="false">
      <c r="A19" s="44" t="s">
        <v>111</v>
      </c>
      <c r="B19" s="123" t="n">
        <f aca="false">report!B13</f>
        <v>10</v>
      </c>
      <c r="C19" s="0" t="s">
        <v>6</v>
      </c>
      <c r="J19" s="124" t="s">
        <v>112</v>
      </c>
      <c r="K19" s="124"/>
      <c r="L19" s="124"/>
    </row>
    <row r="20" customFormat="false" ht="13.8" hidden="false" customHeight="false" outlineLevel="0" collapsed="false">
      <c r="A20" s="44" t="s">
        <v>113</v>
      </c>
      <c r="B20" s="125" t="n">
        <f aca="false">B15-B19</f>
        <v>24.5</v>
      </c>
      <c r="C20" s="0" t="s">
        <v>6</v>
      </c>
      <c r="J20" s="126" t="s">
        <v>114</v>
      </c>
      <c r="K20" s="74"/>
      <c r="L20" s="127" t="s">
        <v>115</v>
      </c>
    </row>
    <row r="21" customFormat="false" ht="13.8" hidden="false" customHeight="false" outlineLevel="0" collapsed="false">
      <c r="A21" s="44" t="s">
        <v>116</v>
      </c>
      <c r="B21" s="125" t="n">
        <f aca="false">B20+1.5</f>
        <v>26</v>
      </c>
      <c r="C21" s="128" t="s">
        <v>117</v>
      </c>
      <c r="D21" s="128"/>
      <c r="J21" s="129" t="n">
        <f aca="false">report!I12</f>
        <v>300</v>
      </c>
      <c r="K21" s="74" t="s">
        <v>118</v>
      </c>
      <c r="L21" s="130" t="n">
        <f aca="false">J21*H5</f>
        <v>1135.62</v>
      </c>
    </row>
    <row r="22" customFormat="false" ht="16.5" hidden="false" customHeight="true" outlineLevel="0" collapsed="false">
      <c r="A22" s="76" t="s">
        <v>63</v>
      </c>
      <c r="B22" s="92" t="n">
        <f aca="false">B19/12</f>
        <v>0.833333333333333</v>
      </c>
      <c r="C22" s="0" t="s">
        <v>73</v>
      </c>
      <c r="J22" s="131" t="n">
        <f aca="false">((J21/24)/B6)/2</f>
        <v>0.84887087453124</v>
      </c>
      <c r="K22" s="74" t="s">
        <v>119</v>
      </c>
      <c r="L22" s="132"/>
    </row>
    <row r="23" customFormat="false" ht="13.8" hidden="false" customHeight="false" outlineLevel="0" collapsed="false">
      <c r="A23" s="76" t="s">
        <v>65</v>
      </c>
      <c r="B23" s="92" t="n">
        <f aca="false">B22*K3</f>
        <v>0.360833333333333</v>
      </c>
      <c r="C23" s="0" t="s">
        <v>120</v>
      </c>
      <c r="J23" s="133" t="n">
        <f aca="false">J21/24/B6</f>
        <v>1.69774174906248</v>
      </c>
      <c r="K23" s="134" t="s">
        <v>121</v>
      </c>
      <c r="L23" s="135"/>
    </row>
    <row r="25" customFormat="false" ht="13.8" hidden="false" customHeight="false" outlineLevel="0" collapsed="false">
      <c r="A25" s="9" t="s">
        <v>122</v>
      </c>
      <c r="B25" s="9"/>
      <c r="C25" s="9"/>
    </row>
    <row r="26" customFormat="false" ht="13.8" hidden="false" customHeight="false" outlineLevel="0" collapsed="false">
      <c r="A26" s="136" t="n">
        <v>29.5</v>
      </c>
      <c r="B26" s="6" t="s">
        <v>123</v>
      </c>
      <c r="C26" s="92" t="n">
        <f aca="false">A26/12</f>
        <v>2.45833333333333</v>
      </c>
      <c r="D26" s="0" t="s">
        <v>5</v>
      </c>
    </row>
    <row r="29" customFormat="false" ht="15" hidden="false" customHeight="false" outlineLevel="0" collapsed="false">
      <c r="A29" s="50" t="s">
        <v>124</v>
      </c>
      <c r="B29" s="50"/>
      <c r="C29" s="50"/>
      <c r="D29" s="50"/>
      <c r="H29" s="6" t="s">
        <v>125</v>
      </c>
    </row>
    <row r="30" customFormat="false" ht="13.8" hidden="false" customHeight="false" outlineLevel="0" collapsed="false">
      <c r="A30" s="137" t="s">
        <v>126</v>
      </c>
      <c r="B30" s="137"/>
      <c r="C30" s="138" t="n">
        <f aca="false">IF(report!D6="cylinder",ROUND(K7*(4/12),0),ROUND(L10*(4/12),0))</f>
        <v>1</v>
      </c>
      <c r="D30" s="0" t="s">
        <v>127</v>
      </c>
      <c r="E30" s="84" t="n">
        <f aca="false">report!B15</f>
        <v>0.5</v>
      </c>
      <c r="F30" s="0" t="s">
        <v>128</v>
      </c>
      <c r="G30" s="139" t="n">
        <v>3.47</v>
      </c>
      <c r="H30" s="140" t="n">
        <f aca="false">C30/E30</f>
        <v>2</v>
      </c>
      <c r="I30" s="141" t="n">
        <f aca="false">G30*H30</f>
        <v>6.94</v>
      </c>
    </row>
    <row r="31" customFormat="false" ht="13.8" hidden="false" customHeight="false" outlineLevel="0" collapsed="false">
      <c r="A31" s="137" t="s">
        <v>129</v>
      </c>
      <c r="B31" s="137"/>
      <c r="C31" s="140" t="n">
        <f aca="false">IF(report!D6="cylinder",ROUND((K7*(B20/12))-C30,0),ROUND((L10*(B20/12))-C30,0))</f>
        <v>5</v>
      </c>
      <c r="D31" s="0" t="s">
        <v>127</v>
      </c>
      <c r="E31" s="84" t="n">
        <f aca="false">report!B16</f>
        <v>0.5</v>
      </c>
      <c r="F31" s="0" t="s">
        <v>128</v>
      </c>
    </row>
    <row r="32" customFormat="false" ht="13.8" hidden="false" customHeight="false" outlineLevel="0" collapsed="false">
      <c r="A32" s="137" t="s">
        <v>130</v>
      </c>
      <c r="B32" s="137"/>
      <c r="C32" s="140" t="n">
        <f aca="false">C31/E31</f>
        <v>10</v>
      </c>
      <c r="D32" s="0" t="s">
        <v>125</v>
      </c>
      <c r="H32" s="137" t="s">
        <v>131</v>
      </c>
      <c r="I32" s="137"/>
    </row>
    <row r="33" customFormat="false" ht="13.8" hidden="false" customHeight="false" outlineLevel="0" collapsed="false">
      <c r="A33" s="137" t="s">
        <v>132</v>
      </c>
      <c r="B33" s="137"/>
      <c r="C33" s="140" t="n">
        <f aca="false">C32*1.25</f>
        <v>12.5</v>
      </c>
      <c r="D33" s="0" t="s">
        <v>125</v>
      </c>
      <c r="E33" s="142" t="n">
        <v>3.47</v>
      </c>
      <c r="F33" s="143" t="n">
        <f aca="false">C33*E33</f>
        <v>43.375</v>
      </c>
    </row>
    <row r="34" customFormat="false" ht="13.8" hidden="false" customHeight="false" outlineLevel="0" collapsed="false">
      <c r="A34" s="137" t="s">
        <v>133</v>
      </c>
      <c r="B34" s="137"/>
      <c r="C34" s="140" t="n">
        <f aca="false">C32</f>
        <v>10</v>
      </c>
      <c r="D34" s="0" t="s">
        <v>125</v>
      </c>
      <c r="E34" s="139" t="n">
        <v>5.48</v>
      </c>
      <c r="F34" s="143" t="n">
        <f aca="false">C34*E34</f>
        <v>54.8</v>
      </c>
      <c r="G34" s="6" t="s">
        <v>134</v>
      </c>
      <c r="H34" s="143" t="n">
        <f aca="false">F34-F33</f>
        <v>11.425</v>
      </c>
      <c r="I34" s="144"/>
      <c r="J34" s="145"/>
      <c r="K34" s="145"/>
      <c r="L34" s="145"/>
      <c r="M34" s="145"/>
    </row>
    <row r="36" customFormat="false" ht="13.8" hidden="false" customHeight="false" outlineLevel="0" collapsed="false">
      <c r="C36" s="146" t="s">
        <v>135</v>
      </c>
      <c r="D36" s="0" t="s">
        <v>136</v>
      </c>
      <c r="E36" s="143" t="n">
        <f aca="false">report!D16</f>
        <v>5.48</v>
      </c>
    </row>
    <row r="42" customFormat="false" ht="13.8" hidden="false" customHeight="false" outlineLevel="0" collapsed="false"/>
  </sheetData>
  <mergeCells count="18">
    <mergeCell ref="A1:L1"/>
    <mergeCell ref="A2:L2"/>
    <mergeCell ref="A3:B3"/>
    <mergeCell ref="J5:L5"/>
    <mergeCell ref="J8:L8"/>
    <mergeCell ref="A10:B10"/>
    <mergeCell ref="G11:H11"/>
    <mergeCell ref="G12:H12"/>
    <mergeCell ref="J19:L19"/>
    <mergeCell ref="C21:D21"/>
    <mergeCell ref="A25:C25"/>
    <mergeCell ref="A29:D29"/>
    <mergeCell ref="A30:B30"/>
    <mergeCell ref="A31:B31"/>
    <mergeCell ref="A32:B32"/>
    <mergeCell ref="H32:I32"/>
    <mergeCell ref="A33:B33"/>
    <mergeCell ref="A34:B34"/>
  </mergeCells>
  <printOptions headings="false" gridLines="false" gridLinesSet="true" horizontalCentered="false" verticalCentered="false"/>
  <pageMargins left="0.329861111111111" right="0.329861111111111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4.43"/>
    <col collapsed="false" customWidth="true" hidden="false" outlineLevel="0" max="4" min="4" style="6" width="15"/>
    <col collapsed="false" customWidth="true" hidden="false" outlineLevel="0" max="5" min="5" style="6" width="9.14"/>
    <col collapsed="false" customWidth="true" hidden="false" outlineLevel="0" max="7" min="6" style="0" width="9.14"/>
    <col collapsed="false" customWidth="true" hidden="false" outlineLevel="0" max="8" min="8" style="0" width="12.57"/>
    <col collapsed="false" customWidth="true" hidden="false" outlineLevel="0" max="9" min="9" style="0" width="91"/>
    <col collapsed="false" customWidth="true" hidden="false" outlineLevel="0" max="1025" min="10" style="0" width="8.67"/>
  </cols>
  <sheetData>
    <row r="1" customFormat="false" ht="15" hidden="false" customHeight="false" outlineLevel="0" collapsed="false">
      <c r="D1" s="6" t="s">
        <v>137</v>
      </c>
      <c r="H1" s="0" t="s">
        <v>138</v>
      </c>
    </row>
    <row r="2" customFormat="false" ht="15" hidden="false" customHeight="false" outlineLevel="0" collapsed="false">
      <c r="D2" s="6" t="s">
        <v>139</v>
      </c>
      <c r="E2" s="6" t="s">
        <v>55</v>
      </c>
      <c r="F2" s="6" t="s">
        <v>140</v>
      </c>
      <c r="G2" s="6" t="s">
        <v>141</v>
      </c>
      <c r="H2" s="6" t="s">
        <v>142</v>
      </c>
      <c r="I2" s="0" t="s">
        <v>143</v>
      </c>
    </row>
    <row r="3" customFormat="false" ht="15" hidden="false" customHeight="false" outlineLevel="0" collapsed="false">
      <c r="A3" s="8" t="n">
        <v>8</v>
      </c>
      <c r="B3" s="0" t="s">
        <v>144</v>
      </c>
      <c r="D3" s="147" t="n">
        <v>41220</v>
      </c>
      <c r="E3" s="148" t="n">
        <v>17</v>
      </c>
      <c r="F3" s="149" t="n">
        <f aca="false">IF(E3="","",E3*60/128)</f>
        <v>7.96875</v>
      </c>
      <c r="G3" s="149" t="n">
        <f aca="false">IF(E3="","",F3*24)</f>
        <v>191.25</v>
      </c>
      <c r="H3" s="150"/>
      <c r="I3" s="0" t="s">
        <v>145</v>
      </c>
    </row>
    <row r="4" customFormat="false" ht="15" hidden="false" customHeight="false" outlineLevel="0" collapsed="false">
      <c r="A4" s="8" t="n">
        <v>4</v>
      </c>
      <c r="B4" s="0" t="s">
        <v>146</v>
      </c>
      <c r="D4" s="147" t="n">
        <v>41223</v>
      </c>
      <c r="E4" s="148" t="n">
        <v>18</v>
      </c>
      <c r="F4" s="149" t="n">
        <f aca="false">IF(E4="","",E4*60/128)</f>
        <v>8.4375</v>
      </c>
      <c r="G4" s="149" t="n">
        <f aca="false">IF(E4="","",F4*24)</f>
        <v>202.5</v>
      </c>
      <c r="H4" s="150"/>
      <c r="I4" s="0" t="s">
        <v>147</v>
      </c>
    </row>
    <row r="5" customFormat="false" ht="15" hidden="false" customHeight="false" outlineLevel="0" collapsed="false">
      <c r="A5" s="8" t="n">
        <v>4</v>
      </c>
      <c r="B5" s="0" t="s">
        <v>148</v>
      </c>
      <c r="E5" s="148"/>
      <c r="F5" s="149" t="str">
        <f aca="false">IF(E5="","",E5*60/128)</f>
        <v/>
      </c>
      <c r="G5" s="149" t="str">
        <f aca="false">IF(E5="","",F5*24)</f>
        <v/>
      </c>
      <c r="H5" s="150"/>
    </row>
    <row r="6" customFormat="false" ht="15" hidden="false" customHeight="false" outlineLevel="0" collapsed="false">
      <c r="A6" s="8" t="n">
        <v>128</v>
      </c>
      <c r="B6" s="0" t="s">
        <v>149</v>
      </c>
      <c r="E6" s="148"/>
      <c r="F6" s="149" t="str">
        <f aca="false">IF(E6="","",E6*60/128)</f>
        <v/>
      </c>
      <c r="G6" s="149" t="str">
        <f aca="false">IF(E6="","",F6*24)</f>
        <v/>
      </c>
      <c r="H6" s="150"/>
    </row>
    <row r="7" customFormat="false" ht="15" hidden="false" customHeight="false" outlineLevel="0" collapsed="false">
      <c r="E7" s="148"/>
      <c r="F7" s="149" t="str">
        <f aca="false">IF(E7="","",E7*60/128)</f>
        <v/>
      </c>
      <c r="G7" s="149" t="str">
        <f aca="false">IF(E7="","",F7*24)</f>
        <v/>
      </c>
      <c r="H7" s="150"/>
    </row>
    <row r="8" customFormat="false" ht="15" hidden="false" customHeight="false" outlineLevel="0" collapsed="false">
      <c r="A8" s="148" t="n">
        <v>18</v>
      </c>
      <c r="B8" s="0" t="s">
        <v>55</v>
      </c>
      <c r="E8" s="148"/>
      <c r="F8" s="149" t="str">
        <f aca="false">IF(E8="","",E8*60/128)</f>
        <v/>
      </c>
      <c r="G8" s="149" t="str">
        <f aca="false">IF(E8="","",F8*24)</f>
        <v/>
      </c>
      <c r="H8" s="150"/>
    </row>
    <row r="9" customFormat="false" ht="15" hidden="false" customHeight="false" outlineLevel="0" collapsed="false">
      <c r="A9" s="151" t="n">
        <f aca="false">A8*60</f>
        <v>1080</v>
      </c>
      <c r="B9" s="0" t="s">
        <v>150</v>
      </c>
      <c r="E9" s="148"/>
      <c r="F9" s="149" t="str">
        <f aca="false">IF(E9="","",E9*60/128)</f>
        <v/>
      </c>
      <c r="G9" s="149" t="str">
        <f aca="false">IF(E9="","",F9*24)</f>
        <v/>
      </c>
      <c r="H9" s="150"/>
    </row>
    <row r="10" customFormat="false" ht="15" hidden="false" customHeight="false" outlineLevel="0" collapsed="false">
      <c r="A10" s="152" t="n">
        <f aca="false">A9/A6</f>
        <v>8.4375</v>
      </c>
      <c r="B10" s="0" t="s">
        <v>151</v>
      </c>
      <c r="E10" s="148"/>
      <c r="F10" s="149" t="str">
        <f aca="false">IF(E10="","",E10*60/128)</f>
        <v/>
      </c>
      <c r="G10" s="149" t="str">
        <f aca="false">IF(E10="","",F10*24)</f>
        <v/>
      </c>
      <c r="H10" s="150"/>
    </row>
    <row r="11" customFormat="false" ht="15" hidden="false" customHeight="false" outlineLevel="0" collapsed="false">
      <c r="A11" s="153" t="n">
        <f aca="false">A10*24</f>
        <v>202.5</v>
      </c>
      <c r="B11" s="0" t="s">
        <v>27</v>
      </c>
      <c r="E11" s="148"/>
      <c r="F11" s="149" t="str">
        <f aca="false">IF(E11="","",E11*60/128)</f>
        <v/>
      </c>
      <c r="G11" s="149" t="str">
        <f aca="false">IF(E11="","",F11*24)</f>
        <v/>
      </c>
      <c r="H11" s="150"/>
    </row>
    <row r="12" customFormat="false" ht="15" hidden="false" customHeight="false" outlineLevel="0" collapsed="false">
      <c r="E12" s="148"/>
      <c r="F12" s="149" t="str">
        <f aca="false">IF(E12="","",E12*60/128)</f>
        <v/>
      </c>
      <c r="G12" s="149" t="str">
        <f aca="false">IF(E12="","",F12*24)</f>
        <v/>
      </c>
      <c r="H12" s="150"/>
    </row>
    <row r="13" customFormat="false" ht="15" hidden="false" customHeight="false" outlineLevel="0" collapsed="false">
      <c r="A13" s="154" t="s">
        <v>152</v>
      </c>
      <c r="B13" s="154"/>
      <c r="E13" s="148"/>
      <c r="F13" s="149" t="str">
        <f aca="false">IF(E13="","",E13*60/128)</f>
        <v/>
      </c>
      <c r="G13" s="149" t="str">
        <f aca="false">IF(E13="","",F13*24)</f>
        <v/>
      </c>
      <c r="H13" s="150"/>
    </row>
    <row r="14" customFormat="false" ht="15" hidden="false" customHeight="false" outlineLevel="0" collapsed="false">
      <c r="A14" s="155" t="s">
        <v>153</v>
      </c>
      <c r="B14" s="155" t="s">
        <v>154</v>
      </c>
      <c r="E14" s="148"/>
      <c r="F14" s="149" t="str">
        <f aca="false">IF(E14="","",E14*60/128)</f>
        <v/>
      </c>
      <c r="G14" s="149" t="str">
        <f aca="false">IF(E14="","",F14*24)</f>
        <v/>
      </c>
      <c r="H14" s="150"/>
    </row>
    <row r="15" customFormat="false" ht="15" hidden="false" customHeight="false" outlineLevel="0" collapsed="false">
      <c r="A15" s="148" t="n">
        <v>1.5</v>
      </c>
      <c r="B15" s="156" t="n">
        <f aca="false">A15*16</f>
        <v>24</v>
      </c>
      <c r="E15" s="148"/>
      <c r="F15" s="149" t="str">
        <f aca="false">IF(E15="","",E15*60/128)</f>
        <v/>
      </c>
      <c r="G15" s="149" t="str">
        <f aca="false">IF(E15="","",F15*24)</f>
        <v/>
      </c>
      <c r="H15" s="150"/>
    </row>
    <row r="16" customFormat="false" ht="15" hidden="false" customHeight="false" outlineLevel="0" collapsed="false">
      <c r="E16" s="148"/>
      <c r="F16" s="149" t="str">
        <f aca="false">IF(E16="","",E16*60/128)</f>
        <v/>
      </c>
      <c r="G16" s="149" t="str">
        <f aca="false">IF(E16="","",F16*24)</f>
        <v/>
      </c>
      <c r="H16" s="150"/>
    </row>
    <row r="17" customFormat="false" ht="15" hidden="false" customHeight="false" outlineLevel="0" collapsed="false">
      <c r="E17" s="148"/>
      <c r="F17" s="149" t="str">
        <f aca="false">IF(E17="","",E17*60/128)</f>
        <v/>
      </c>
      <c r="G17" s="149" t="str">
        <f aca="false">IF(E17="","",F17*24)</f>
        <v/>
      </c>
      <c r="H17" s="150"/>
    </row>
    <row r="18" customFormat="false" ht="15" hidden="false" customHeight="false" outlineLevel="0" collapsed="false">
      <c r="E18" s="148"/>
      <c r="F18" s="149" t="str">
        <f aca="false">IF(E18="","",E18*60/128)</f>
        <v/>
      </c>
      <c r="G18" s="149" t="str">
        <f aca="false">IF(E18="","",F18*24)</f>
        <v/>
      </c>
      <c r="H18" s="150"/>
    </row>
    <row r="19" customFormat="false" ht="15" hidden="false" customHeight="false" outlineLevel="0" collapsed="false">
      <c r="E19" s="148"/>
      <c r="F19" s="149" t="str">
        <f aca="false">IF(E19="","",E19*60/128)</f>
        <v/>
      </c>
      <c r="G19" s="149" t="str">
        <f aca="false">IF(E19="","",F19*24)</f>
        <v/>
      </c>
      <c r="H19" s="150"/>
    </row>
    <row r="20" customFormat="false" ht="15" hidden="false" customHeight="false" outlineLevel="0" collapsed="false">
      <c r="E20" s="148"/>
      <c r="F20" s="149" t="str">
        <f aca="false">IF(E20="","",E20*60/128)</f>
        <v/>
      </c>
      <c r="G20" s="149" t="str">
        <f aca="false">IF(E20="","",F20*24)</f>
        <v/>
      </c>
      <c r="H20" s="150"/>
    </row>
    <row r="21" customFormat="false" ht="15" hidden="false" customHeight="false" outlineLevel="0" collapsed="false">
      <c r="E21" s="148"/>
      <c r="F21" s="149" t="str">
        <f aca="false">IF(E21="","",E21*60/128)</f>
        <v/>
      </c>
      <c r="G21" s="149" t="str">
        <f aca="false">IF(E21="","",F21*24)</f>
        <v/>
      </c>
      <c r="H21" s="150"/>
    </row>
    <row r="22" customFormat="false" ht="15" hidden="false" customHeight="false" outlineLevel="0" collapsed="false">
      <c r="E22" s="148"/>
      <c r="F22" s="149" t="str">
        <f aca="false">IF(E22="","",E22*60/128)</f>
        <v/>
      </c>
      <c r="G22" s="149" t="str">
        <f aca="false">IF(E22="","",F22*24)</f>
        <v/>
      </c>
      <c r="H22" s="150"/>
    </row>
    <row r="23" customFormat="false" ht="15" hidden="false" customHeight="false" outlineLevel="0" collapsed="false">
      <c r="E23" s="148"/>
      <c r="F23" s="149" t="str">
        <f aca="false">IF(E23="","",E23*60/128)</f>
        <v/>
      </c>
      <c r="G23" s="149" t="str">
        <f aca="false">IF(E23="","",F23*24)</f>
        <v/>
      </c>
      <c r="H23" s="150"/>
    </row>
    <row r="24" customFormat="false" ht="15" hidden="false" customHeight="false" outlineLevel="0" collapsed="false">
      <c r="E24" s="148"/>
      <c r="F24" s="149" t="str">
        <f aca="false">IF(E24="","",E24*60/128)</f>
        <v/>
      </c>
      <c r="G24" s="149" t="str">
        <f aca="false">IF(E24="","",F24*24)</f>
        <v/>
      </c>
      <c r="H24" s="150"/>
    </row>
    <row r="25" customFormat="false" ht="15" hidden="false" customHeight="false" outlineLevel="0" collapsed="false">
      <c r="E25" s="148"/>
      <c r="F25" s="149" t="str">
        <f aca="false">IF(E25="","",E25*60/128)</f>
        <v/>
      </c>
      <c r="G25" s="149" t="str">
        <f aca="false">IF(E25="","",F25*24)</f>
        <v/>
      </c>
      <c r="H25" s="150"/>
    </row>
    <row r="26" customFormat="false" ht="15" hidden="false" customHeight="false" outlineLevel="0" collapsed="false">
      <c r="E26" s="148"/>
      <c r="F26" s="149" t="str">
        <f aca="false">IF(E26="","",E26*60/128)</f>
        <v/>
      </c>
      <c r="G26" s="149" t="str">
        <f aca="false">IF(E26="","",F26*24)</f>
        <v/>
      </c>
      <c r="H26" s="150"/>
    </row>
    <row r="27" customFormat="false" ht="15" hidden="false" customHeight="false" outlineLevel="0" collapsed="false">
      <c r="E27" s="148"/>
      <c r="F27" s="149" t="str">
        <f aca="false">IF(E27="","",E27*60/128)</f>
        <v/>
      </c>
      <c r="G27" s="149" t="str">
        <f aca="false">IF(E27="","",F27*24)</f>
        <v/>
      </c>
      <c r="H27" s="150"/>
    </row>
    <row r="28" customFormat="false" ht="15" hidden="false" customHeight="false" outlineLevel="0" collapsed="false">
      <c r="E28" s="148"/>
      <c r="F28" s="149" t="str">
        <f aca="false">IF(E28="","",E28*60/128)</f>
        <v/>
      </c>
      <c r="G28" s="149" t="str">
        <f aca="false">IF(E28="","",F28*24)</f>
        <v/>
      </c>
      <c r="H28" s="150"/>
    </row>
    <row r="29" customFormat="false" ht="15" hidden="false" customHeight="false" outlineLevel="0" collapsed="false">
      <c r="E29" s="148"/>
      <c r="F29" s="149" t="str">
        <f aca="false">IF(E29="","",E29*60/128)</f>
        <v/>
      </c>
      <c r="G29" s="149" t="str">
        <f aca="false">IF(E29="","",F29*24)</f>
        <v/>
      </c>
      <c r="H29" s="150"/>
    </row>
    <row r="30" customFormat="false" ht="15" hidden="false" customHeight="false" outlineLevel="0" collapsed="false">
      <c r="E30" s="148"/>
      <c r="F30" s="149" t="str">
        <f aca="false">IF(E30="","",E30*60/128)</f>
        <v/>
      </c>
      <c r="G30" s="149" t="str">
        <f aca="false">IF(E30="","",F30*24)</f>
        <v/>
      </c>
      <c r="H30" s="150"/>
    </row>
    <row r="31" customFormat="false" ht="15" hidden="false" customHeight="false" outlineLevel="0" collapsed="false">
      <c r="E31" s="148"/>
      <c r="F31" s="149" t="str">
        <f aca="false">IF(E31="","",E31*60/128)</f>
        <v/>
      </c>
      <c r="G31" s="149" t="str">
        <f aca="false">IF(E31="","",F31*24)</f>
        <v/>
      </c>
      <c r="H31" s="150"/>
    </row>
    <row r="32" customFormat="false" ht="15" hidden="false" customHeight="false" outlineLevel="0" collapsed="false">
      <c r="E32" s="148"/>
      <c r="F32" s="149" t="str">
        <f aca="false">IF(E32="","",E32*60/128)</f>
        <v/>
      </c>
      <c r="G32" s="149" t="str">
        <f aca="false">IF(E32="","",F32*24)</f>
        <v/>
      </c>
      <c r="H32" s="150"/>
    </row>
    <row r="33" customFormat="false" ht="15" hidden="false" customHeight="false" outlineLevel="0" collapsed="false">
      <c r="E33" s="148"/>
      <c r="F33" s="149" t="str">
        <f aca="false">IF(E33="","",E33*60/128)</f>
        <v/>
      </c>
      <c r="G33" s="149" t="str">
        <f aca="false">IF(E33="","",F33*24)</f>
        <v/>
      </c>
      <c r="H33" s="150"/>
    </row>
    <row r="34" customFormat="false" ht="15" hidden="false" customHeight="false" outlineLevel="0" collapsed="false">
      <c r="E34" s="148"/>
      <c r="F34" s="149" t="str">
        <f aca="false">IF(E34="","",E34*60/128)</f>
        <v/>
      </c>
      <c r="G34" s="149" t="str">
        <f aca="false">IF(E34="","",F34*24)</f>
        <v/>
      </c>
      <c r="H34" s="150"/>
    </row>
  </sheetData>
  <mergeCells count="1">
    <mergeCell ref="A13:B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1296</TotalTime>
  <Application>LibreOffice/6.0.4.2$Linux_X86_64 LibreOffice_project/9b0d9b32d5dcda91d2f1a96dc04c645c450872bf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2012-10-12T02:45:47Z</dcterms:created>
  <dc:creator>Pat Chesney</dc:creator>
  <dc:description/>
  <dc:language>en-US</dc:language>
  <cp:lastModifiedBy>Pat Chesney</cp:lastModifiedBy>
  <cp:lastPrinted>2018-11-18T00:25:17Z</cp:lastPrinted>
  <dcterms:modified xsi:type="dcterms:W3CDTF">2018-11-18T21:43:30Z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